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oulk\Documents\Bevar Jordforbindelsen\"/>
    </mc:Choice>
  </mc:AlternateContent>
  <xr:revisionPtr revIDLastSave="0" documentId="8_{902C41D1-8815-403C-B7FB-89107B6313B2}" xr6:coauthVersionLast="47" xr6:coauthVersionMax="47" xr10:uidLastSave="{00000000-0000-0000-0000-000000000000}"/>
  <bookViews>
    <workbookView xWindow="4155" yWindow="1365" windowWidth="24630" windowHeight="1441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B52" i="1"/>
  <c r="B53" i="1" s="1"/>
  <c r="B44" i="1" l="1"/>
  <c r="B45" i="1" s="1"/>
  <c r="C43" i="1"/>
  <c r="C51" i="1" s="1"/>
  <c r="AB9" i="1"/>
  <c r="Y11" i="1" s="1"/>
  <c r="Y12" i="1" s="1"/>
  <c r="C44" i="1" s="1"/>
  <c r="C45" i="1" l="1"/>
  <c r="C53" i="1" s="1"/>
  <c r="C21" i="1"/>
  <c r="S12" i="1" l="1"/>
  <c r="S13" i="1" s="1"/>
  <c r="S14" i="1" s="1"/>
  <c r="S15" i="1" s="1"/>
  <c r="S19" i="1" l="1"/>
  <c r="B35" i="1"/>
  <c r="D21" i="1"/>
  <c r="B26" i="1" s="1"/>
  <c r="B30" i="1" s="1"/>
  <c r="Q13" i="1"/>
  <c r="Q14" i="1" s="1"/>
  <c r="Q15" i="1" s="1"/>
  <c r="P13" i="1"/>
  <c r="P14" i="1" s="1"/>
  <c r="P15" i="1" s="1"/>
  <c r="P19" i="1" s="1"/>
  <c r="O13" i="1"/>
  <c r="O14" i="1" s="1"/>
  <c r="O15" i="1" s="1"/>
  <c r="O19" i="1" s="1"/>
  <c r="N13" i="1"/>
  <c r="N14" i="1" s="1"/>
  <c r="N15" i="1" s="1"/>
  <c r="N19" i="1" s="1"/>
  <c r="M13" i="1"/>
  <c r="M14" i="1" s="1"/>
  <c r="M15" i="1" s="1"/>
  <c r="M19" i="1" s="1"/>
  <c r="L13" i="1"/>
  <c r="L14" i="1" s="1"/>
  <c r="L15" i="1" s="1"/>
  <c r="L19" i="1" s="1"/>
  <c r="K13" i="1"/>
  <c r="K14" i="1" s="1"/>
  <c r="K15" i="1" s="1"/>
  <c r="K19" i="1" s="1"/>
  <c r="J13" i="1"/>
  <c r="J14" i="1" s="1"/>
  <c r="J15" i="1" s="1"/>
  <c r="J19" i="1" s="1"/>
  <c r="I13" i="1"/>
  <c r="I14" i="1" s="1"/>
  <c r="I15" i="1" s="1"/>
  <c r="I19" i="1" s="1"/>
  <c r="H13" i="1"/>
  <c r="H14" i="1" s="1"/>
  <c r="H15" i="1" s="1"/>
  <c r="H19" i="1" s="1"/>
  <c r="G13" i="1"/>
  <c r="G14" i="1" s="1"/>
  <c r="G15" i="1" s="1"/>
  <c r="G19" i="1" s="1"/>
  <c r="F13" i="1"/>
  <c r="F14" i="1" s="1"/>
  <c r="F15" i="1" s="1"/>
  <c r="F19" i="1" s="1"/>
  <c r="E13" i="1"/>
  <c r="E14" i="1" s="1"/>
  <c r="E15" i="1" s="1"/>
  <c r="E19" i="1" s="1"/>
  <c r="D13" i="1"/>
  <c r="D14" i="1" s="1"/>
  <c r="D15" i="1" s="1"/>
  <c r="D19" i="1" s="1"/>
  <c r="C13" i="1"/>
  <c r="C14" i="1" s="1"/>
  <c r="C15" i="1" s="1"/>
  <c r="C19" i="1" s="1"/>
  <c r="B25" i="1" l="1"/>
  <c r="B29" i="1" s="1"/>
  <c r="Q19" i="1"/>
  <c r="J36" i="1" s="1"/>
  <c r="J37" i="1" l="1"/>
</calcChain>
</file>

<file path=xl/sharedStrings.xml><?xml version="1.0" encoding="utf-8"?>
<sst xmlns="http://schemas.openxmlformats.org/spreadsheetml/2006/main" count="68" uniqueCount="64">
  <si>
    <t>statistikbanken.dk/FLYV31</t>
  </si>
  <si>
    <t xml:space="preserve">Kilde: Trafikstyrelsen.  Større lufthavne er lufthavne med rutepassagerer eller med mindst 50.000 flyoperationer årligt </t>
  </si>
  <si>
    <t>Passagerer på større offentlige, betjente danske lufthavne efter passagerkategori, lufthavn og tid</t>
  </si>
  <si>
    <t>Enhed: 1.000 stk.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</si>
  <si>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</si>
  <si>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</si>
  <si>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</si>
  <si>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</si>
  <si>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</si>
  <si>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</si>
  <si>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</si>
  <si>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</si>
  <si>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</si>
  <si>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</si>
  <si>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</si>
  <si>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</si>
  <si>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</si>
  <si>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</si>
  <si>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</si>
  <si>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</si>
  <si>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PASSAGERER I ALT, 1000</t>
  </si>
  <si>
    <t>LUFTHAVNE IALT</t>
  </si>
  <si>
    <t>København</t>
  </si>
  <si>
    <t>International luftfart (kt CO2)</t>
  </si>
  <si>
    <t>Demestic aviation (kt CO2)</t>
  </si>
  <si>
    <t>Luftfart alle danske lufthavne (kt CO2)</t>
  </si>
  <si>
    <t>Klimabelastning per passager, alle danske lufthavne (kg CO2e)</t>
  </si>
  <si>
    <t>Klimabelastning CHP</t>
  </si>
  <si>
    <t>tons CO2e</t>
  </si>
  <si>
    <t>0,5 % p.a. effektivitetsforbedring svarer til ca. 6 % på 12 år</t>
  </si>
  <si>
    <t>40 millioner</t>
  </si>
  <si>
    <t>60 millioner</t>
  </si>
  <si>
    <t>Ekstra klimabelastning ved udvidelse af CHP (tons CO2e)</t>
  </si>
  <si>
    <t>70 % målsætning ift. 1990 (kt CO2e)</t>
  </si>
  <si>
    <t>Danmarks samelde udledning uden LULUCF, bioenergi og international bunkering mm. Base year (1990)</t>
  </si>
  <si>
    <t>70 % af base year</t>
  </si>
  <si>
    <t>Hjælpeberegning*</t>
  </si>
  <si>
    <t>I dag udleder CHP 31* procent af den mængde drivhusgasser, Danmark kan udlede i 2030</t>
  </si>
  <si>
    <t>Alene udvidelsen fra 30 til 40 millioner vil betyde en ekstra ukstra udledning af klimagasser, som svarer til 8* procent af Danmarks klimamål i 2030</t>
  </si>
  <si>
    <t>2019</t>
  </si>
  <si>
    <t>2020</t>
  </si>
  <si>
    <t>2021</t>
  </si>
  <si>
    <t>Luftfart alle danske lufthavne (kt CO2e - klimafaktor 3,0)</t>
  </si>
  <si>
    <t>Inventory 2019, Submission 2021 v1</t>
  </si>
  <si>
    <t>Ekstra klimaeffekt ift. Klimarådets illustration om transport side 98 i Klimastatus 2023</t>
  </si>
  <si>
    <t>Faktiske udledninger i 2020</t>
  </si>
  <si>
    <t>Mio. tons CO2e</t>
  </si>
  <si>
    <t>Reduktion i alt frem mod 2030</t>
  </si>
  <si>
    <t>Stigning de sidste 10 år (p/a):</t>
  </si>
  <si>
    <t>med klimaeffekt</t>
  </si>
  <si>
    <t xml:space="preserve">forudsat at international luftfart 2020 var som i 2019 </t>
  </si>
  <si>
    <t>forudsat samme stigningstakt som de senste 10 år samt 5 % reduktion, som er målet for alternative brændstoffer</t>
  </si>
  <si>
    <t>med 5 % reduktin</t>
  </si>
  <si>
    <t>2030-udledning efter reduktiner</t>
  </si>
  <si>
    <t>Grafik</t>
  </si>
  <si>
    <t>Transport uden int. Luftfart</t>
  </si>
  <si>
    <t>Transport med int. Luftfart</t>
  </si>
  <si>
    <t>Global Warming Potential, klimafaktor</t>
  </si>
  <si>
    <t>Klimabelastning per år fra CHP (tons CO2e)</t>
  </si>
  <si>
    <t>Transport uden int. luftfart</t>
  </si>
  <si>
    <t>Transport 2020</t>
  </si>
  <si>
    <t>Ændringer</t>
  </si>
  <si>
    <t>Transport 2030</t>
  </si>
  <si>
    <t>Int. dansk luftfart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</si>
</sst>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indexed="8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Border="0" applyAlignment="0"/>
    <xf numFmtId="0" fontId="7" fillId="0" borderId="0" applyNumberFormat="0">
      <alignment horizontal="right"/>
    </xf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2" fillId="0" borderId="0" xfId="0" applyFont="1"/>
    <xf numFmtId="0" fontId="8" fillId="2" borderId="0" xfId="3" applyFont="1" applyFill="1">
      <alignment horizontal="right"/>
    </xf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164" fontId="0" fillId="3" borderId="0" xfId="0" applyNumberFormat="1" applyFill="1"/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166" fontId="0" fillId="3" borderId="0" xfId="0" applyNumberFormat="1" applyFill="1"/>
    <xf numFmtId="167" fontId="0" fillId="0" borderId="0" xfId="0" applyNumberFormat="1"/>
    <xf numFmtId="0" fontId="6" fillId="0" borderId="0" xfId="2" applyFont="1" applyAlignment="1">
      <alignment horizontal="left"/>
    </xf>
    <xf numFmtId="0" fontId="5" fillId="0" borderId="0" xfId="2" applyAlignment="1">
      <alignment horizontal="right"/>
    </xf>
    <xf numFmtId="2" fontId="0" fillId="3" borderId="0" xfId="0" applyNumberFormat="1" applyFill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1" fontId="0" fillId="5" borderId="0" xfId="0" applyNumberFormat="1" applyFill="1"/>
  </cellXfs>
  <cellStyles count="4">
    <cellStyle name="Constants" xfId="3" xr:uid="{00000000-0005-0000-0000-000000000000}"/>
    <cellStyle name="Komma" xfId="1" builtinId="3"/>
    <cellStyle name="Normal" xfId="0" builtinId="0"/>
    <cellStyle name="Normal 1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/>
              <a:t>Transportens klimaudledninger</a:t>
            </a:r>
            <a:r>
              <a:rPr lang="en-GB" sz="2400" b="1" baseline="0"/>
              <a:t> m</a:t>
            </a:r>
            <a:r>
              <a:rPr lang="en-GB" sz="2400" b="1"/>
              <a:t>io. tons CO2e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'Ark1'!$B$50</c:f>
              <c:strCache>
                <c:ptCount val="1"/>
                <c:pt idx="0">
                  <c:v>Transport uden int. luftfart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'Ark1'!$A$51:$A$53</c:f>
              <c:strCache>
                <c:ptCount val="3"/>
                <c:pt idx="0">
                  <c:v>Transport 2020</c:v>
                </c:pt>
                <c:pt idx="1">
                  <c:v>Ændringer</c:v>
                </c:pt>
                <c:pt idx="2">
                  <c:v>Transport 2030</c:v>
                </c:pt>
              </c:strCache>
            </c:strRef>
          </c:cat>
          <c:val>
            <c:numRef>
              <c:f>'Ark1'!$B$51:$B$53</c:f>
              <c:numCache>
                <c:formatCode>General</c:formatCode>
                <c:ptCount val="3"/>
                <c:pt idx="0">
                  <c:v>12.4</c:v>
                </c:pt>
                <c:pt idx="1">
                  <c:v>-2.8000000000000007</c:v>
                </c:pt>
                <c:pt idx="2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D64-8D97-0FF76F7C70AF}"/>
            </c:ext>
          </c:extLst>
        </c:ser>
        <c:ser>
          <c:idx val="1"/>
          <c:order val="1"/>
          <c:tx>
            <c:strRef>
              <c:f>'Ark1'!$C$50</c:f>
              <c:strCache>
                <c:ptCount val="1"/>
                <c:pt idx="0">
                  <c:v>Int. dansk luftfart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'Ark1'!$A$51:$A$53</c:f>
              <c:strCache>
                <c:ptCount val="3"/>
                <c:pt idx="0">
                  <c:v>Transport 2020</c:v>
                </c:pt>
                <c:pt idx="1">
                  <c:v>Ændringer</c:v>
                </c:pt>
                <c:pt idx="2">
                  <c:v>Transport 2030</c:v>
                </c:pt>
              </c:strCache>
            </c:strRef>
          </c:cat>
          <c:val>
            <c:numRef>
              <c:f>'Ark1'!$C$51:$C$53</c:f>
              <c:numCache>
                <c:formatCode>0</c:formatCode>
                <c:ptCount val="3"/>
                <c:pt idx="0">
                  <c:v>8.9872240856977346</c:v>
                </c:pt>
                <c:pt idx="1">
                  <c:v>3.8140700290002889</c:v>
                </c:pt>
                <c:pt idx="2">
                  <c:v>12.801294114698022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D64-8D97-0FF76F7C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57104"/>
        <c:axId val="422154152"/>
      </c:barChart>
      <c:catAx>
        <c:axId val="42215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2154152"/>
        <c:crosses val="autoZero"/>
        <c:auto val="1"/>
        <c:lblAlgn val="ctr"/>
        <c:lblOffset val="100"/>
        <c:noMultiLvlLbl val="0"/>
      </c:catAx>
      <c:valAx>
        <c:axId val="42215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215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60385</xdr:colOff>
      <xdr:row>46</xdr:row>
      <xdr:rowOff>4311</xdr:rowOff>
    </xdr:from>
    <xdr:to>
      <xdr:col>12</xdr:col>
      <xdr:colOff>161925</xdr:colOff>
      <xdr:row>68</xdr:row>
      <xdr:rowOff>133349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topLeftCell="A16" workbookViewId="0">
      <selection activeCell="X12" sqref="X12"/>
    </sheetView>
  </sheetViews>
  <sheetFormatPr defaultRowHeight="15" x14ac:dyDescent="0.25"/>
  <cols>
    <col min="1" max="1" width="40.42578125" customWidth="1"/>
    <col min="2" max="2" width="15.140625" customWidth="1"/>
    <col min="3" max="17" width="10.85546875" customWidth="1"/>
    <col min="19" max="19" width="11.85546875" bestFit="1" customWidth="1"/>
    <col min="25" max="25" width="11.85546875" bestFit="1" customWidth="1"/>
  </cols>
  <sheetData>
    <row r="1" spans="1:28" x14ac:dyDescent="0.25">
      <c r="A1" t="s">
        <v>0</v>
      </c>
      <c r="B1" t="s">
        <v>1</v>
      </c>
    </row>
    <row r="2" spans="1:28" ht="17.25" x14ac:dyDescent="0.3">
      <c r="A2" s="1" t="s">
        <v>2</v>
      </c>
    </row>
    <row r="3" spans="1:28" ht="15.6" customHeight="1" x14ac:dyDescent="0.25">
      <c r="A3" s="2" t="s">
        <v>3</v>
      </c>
      <c r="G3" s="3"/>
    </row>
    <row r="4" spans="1:28" ht="14.25" x14ac:dyDescent="0.25"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39</v>
      </c>
      <c r="T4" s="16" t="s">
        <v>40</v>
      </c>
      <c r="U4" s="16" t="s">
        <v>41</v>
      </c>
    </row>
    <row r="5" spans="1:28" ht="14.25" x14ac:dyDescent="0.25">
      <c r="A5" s="4" t="s">
        <v>20</v>
      </c>
      <c r="B5" s="4" t="s">
        <v>21</v>
      </c>
      <c r="C5" s="17">
        <v>20726</v>
      </c>
      <c r="D5" s="17">
        <v>22566</v>
      </c>
      <c r="E5" s="17">
        <v>23781</v>
      </c>
      <c r="F5" s="17">
        <v>24729</v>
      </c>
      <c r="G5" s="17">
        <v>25890</v>
      </c>
      <c r="H5" s="17">
        <v>26204</v>
      </c>
      <c r="I5" s="17">
        <v>24132</v>
      </c>
      <c r="J5" s="17">
        <v>26628</v>
      </c>
      <c r="K5" s="17">
        <v>28045</v>
      </c>
      <c r="L5" s="17">
        <v>28295</v>
      </c>
      <c r="M5" s="17">
        <v>29203</v>
      </c>
      <c r="N5" s="17">
        <v>30799</v>
      </c>
      <c r="O5" s="17">
        <v>31869</v>
      </c>
      <c r="P5" s="17">
        <v>34587</v>
      </c>
      <c r="Q5" s="17">
        <v>34966</v>
      </c>
      <c r="R5" s="17">
        <v>36390</v>
      </c>
      <c r="S5" s="17">
        <v>36385</v>
      </c>
      <c r="T5" s="17">
        <v>9323</v>
      </c>
      <c r="U5" s="17">
        <v>11726</v>
      </c>
    </row>
    <row r="6" spans="1:28" x14ac:dyDescent="0.25">
      <c r="B6" s="4" t="s">
        <v>22</v>
      </c>
      <c r="C6" s="17">
        <v>17644</v>
      </c>
      <c r="D6" s="17">
        <v>18966</v>
      </c>
      <c r="E6" s="17">
        <v>19907</v>
      </c>
      <c r="F6" s="17">
        <v>20799</v>
      </c>
      <c r="G6" s="17">
        <v>21357</v>
      </c>
      <c r="H6" s="17">
        <v>21478</v>
      </c>
      <c r="I6" s="17">
        <v>19669</v>
      </c>
      <c r="J6" s="17">
        <v>21452</v>
      </c>
      <c r="K6" s="17">
        <v>22673</v>
      </c>
      <c r="L6" s="17">
        <v>23289</v>
      </c>
      <c r="M6" s="17">
        <v>24029</v>
      </c>
      <c r="N6" s="17">
        <v>25588</v>
      </c>
      <c r="O6" s="17">
        <v>26577</v>
      </c>
      <c r="P6" s="17">
        <v>29003</v>
      </c>
      <c r="Q6" s="17">
        <v>29148</v>
      </c>
      <c r="R6" s="17">
        <v>30259</v>
      </c>
      <c r="S6" s="17">
        <v>30197</v>
      </c>
      <c r="T6" s="17">
        <v>7512</v>
      </c>
      <c r="U6" s="17">
        <v>9167</v>
      </c>
    </row>
    <row r="7" spans="1:28" ht="15" customHeight="1" x14ac:dyDescent="0.25"/>
    <row r="8" spans="1:28" ht="14.25" x14ac:dyDescent="0.25">
      <c r="A8" t="s">
        <v>57</v>
      </c>
      <c r="B8" s="15">
        <v>3</v>
      </c>
    </row>
    <row r="9" spans="1:28" x14ac:dyDescent="0.25">
      <c r="X9" s="19"/>
      <c r="Y9" s="19" t="s">
        <v>48</v>
      </c>
      <c r="Z9" s="19"/>
      <c r="AA9" s="19"/>
      <c r="AB9" s="19">
        <f>(S11/I11)^(1/10)</f>
        <v>1.0306429419446246</v>
      </c>
    </row>
    <row r="10" spans="1:28" ht="14.25" x14ac:dyDescent="0.25">
      <c r="B10" s="5"/>
      <c r="C10" s="5"/>
      <c r="D10" s="5"/>
      <c r="X10" s="19"/>
      <c r="Y10" s="19">
        <v>2030</v>
      </c>
      <c r="Z10" s="19"/>
      <c r="AA10" s="19"/>
      <c r="AB10" s="19"/>
    </row>
    <row r="11" spans="1:28" ht="14.25" x14ac:dyDescent="0.25">
      <c r="A11" t="s">
        <v>23</v>
      </c>
      <c r="B11" s="6" t="s">
        <v>43</v>
      </c>
      <c r="C11" s="7">
        <v>2145.1078641729359</v>
      </c>
      <c r="D11" s="7">
        <v>2460.6328129843801</v>
      </c>
      <c r="E11" s="7">
        <v>2584.7737725368447</v>
      </c>
      <c r="F11" s="7">
        <v>2590.4657865036488</v>
      </c>
      <c r="G11" s="7">
        <v>2653.528255976215</v>
      </c>
      <c r="H11" s="7">
        <v>2648.9796682926608</v>
      </c>
      <c r="I11" s="7">
        <v>2313.8414449355223</v>
      </c>
      <c r="J11" s="7">
        <v>2414.5068773635653</v>
      </c>
      <c r="K11" s="7">
        <v>2485.3906723190071</v>
      </c>
      <c r="L11" s="7">
        <v>2511.7286627602734</v>
      </c>
      <c r="M11" s="7">
        <v>2487.289443739372</v>
      </c>
      <c r="N11" s="7">
        <v>2696.809476350425</v>
      </c>
      <c r="O11" s="7">
        <v>2641.3243981528335</v>
      </c>
      <c r="P11" s="7">
        <v>2840.2749000052122</v>
      </c>
      <c r="Q11" s="7">
        <v>2925.4780611691126</v>
      </c>
      <c r="R11">
        <v>3061.5293406309934</v>
      </c>
      <c r="S11">
        <v>3129.0746952325785</v>
      </c>
      <c r="X11" s="19"/>
      <c r="Y11" s="19">
        <f>S11*AB9^11</f>
        <v>4361.2049728767024</v>
      </c>
      <c r="Z11" s="19" t="s">
        <v>49</v>
      </c>
      <c r="AA11" s="19"/>
      <c r="AB11" s="19"/>
    </row>
    <row r="12" spans="1:28" ht="14.25" x14ac:dyDescent="0.25">
      <c r="A12" t="s">
        <v>24</v>
      </c>
      <c r="B12" s="6" t="s">
        <v>43</v>
      </c>
      <c r="C12" s="18">
        <v>144.96770651220999</v>
      </c>
      <c r="D12" s="18">
        <v>130.904181761823</v>
      </c>
      <c r="E12" s="18">
        <v>140.25705503355584</v>
      </c>
      <c r="F12" s="18">
        <v>149.583716544487</v>
      </c>
      <c r="G12" s="18">
        <v>169.066547373417</v>
      </c>
      <c r="H12" s="18">
        <v>174.479281398952</v>
      </c>
      <c r="I12" s="18">
        <v>166.40870810367934</v>
      </c>
      <c r="J12" s="18">
        <v>173.27578292131199</v>
      </c>
      <c r="K12" s="18">
        <v>164.92605226510599</v>
      </c>
      <c r="L12" s="18">
        <v>145.07677678887501</v>
      </c>
      <c r="M12" s="18">
        <v>141.222729828453</v>
      </c>
      <c r="N12" s="18">
        <v>137.13614193164301</v>
      </c>
      <c r="O12" s="18">
        <v>130.15741702861899</v>
      </c>
      <c r="P12" s="18">
        <v>135.18975535137699</v>
      </c>
      <c r="Q12" s="18">
        <v>137.11227983010932</v>
      </c>
      <c r="S12">
        <f>149.51128651947+(298*0.00703803036479)</f>
        <v>151.6086195681774</v>
      </c>
      <c r="X12" s="19" t="s">
        <v>52</v>
      </c>
      <c r="Y12" s="19">
        <f>Y11*0.95</f>
        <v>4143.1447242328668</v>
      </c>
      <c r="Z12" s="19"/>
      <c r="AA12" s="19"/>
      <c r="AB12" s="19"/>
    </row>
    <row r="13" spans="1:28" ht="14.25" x14ac:dyDescent="0.25">
      <c r="A13" t="s">
        <v>25</v>
      </c>
      <c r="C13" s="7">
        <f>C12+C11</f>
        <v>2290.075570685146</v>
      </c>
      <c r="D13" s="7">
        <f t="shared" ref="D13:Q13" si="0">D12+D11</f>
        <v>2591.5369947462032</v>
      </c>
      <c r="E13" s="7">
        <f t="shared" si="0"/>
        <v>2725.0308275704006</v>
      </c>
      <c r="F13" s="7">
        <f t="shared" si="0"/>
        <v>2740.0495030481356</v>
      </c>
      <c r="G13" s="7">
        <f t="shared" si="0"/>
        <v>2822.594803349632</v>
      </c>
      <c r="H13" s="7">
        <f t="shared" si="0"/>
        <v>2823.4589496916128</v>
      </c>
      <c r="I13" s="7">
        <f t="shared" si="0"/>
        <v>2480.2501530392015</v>
      </c>
      <c r="J13" s="7">
        <f t="shared" si="0"/>
        <v>2587.7826602848772</v>
      </c>
      <c r="K13" s="7">
        <f t="shared" si="0"/>
        <v>2650.3167245841132</v>
      </c>
      <c r="L13" s="7">
        <f t="shared" si="0"/>
        <v>2656.8054395491486</v>
      </c>
      <c r="M13" s="7">
        <f t="shared" si="0"/>
        <v>2628.5121735678249</v>
      </c>
      <c r="N13" s="7">
        <f t="shared" si="0"/>
        <v>2833.9456182820682</v>
      </c>
      <c r="O13" s="7">
        <f t="shared" si="0"/>
        <v>2771.4818151814525</v>
      </c>
      <c r="P13" s="7">
        <f t="shared" si="0"/>
        <v>2975.464655356589</v>
      </c>
      <c r="Q13" s="7">
        <f t="shared" si="0"/>
        <v>3062.590340999222</v>
      </c>
      <c r="S13" s="7">
        <f t="shared" ref="S13" si="1">S12+S11</f>
        <v>3280.6833148007559</v>
      </c>
    </row>
    <row r="14" spans="1:28" ht="14.25" x14ac:dyDescent="0.25">
      <c r="A14" t="s">
        <v>42</v>
      </c>
      <c r="C14" s="8">
        <f>C13*$B$8</f>
        <v>6870.2267120554379</v>
      </c>
      <c r="D14" s="8">
        <f t="shared" ref="D14:Q14" si="2">D13*$B$8</f>
        <v>7774.6109842386095</v>
      </c>
      <c r="E14" s="8">
        <f t="shared" si="2"/>
        <v>8175.0924827112012</v>
      </c>
      <c r="F14" s="8">
        <f t="shared" si="2"/>
        <v>8220.1485091444065</v>
      </c>
      <c r="G14" s="8">
        <f t="shared" si="2"/>
        <v>8467.7844100488965</v>
      </c>
      <c r="H14" s="8">
        <f t="shared" si="2"/>
        <v>8470.3768490748389</v>
      </c>
      <c r="I14" s="8">
        <f t="shared" si="2"/>
        <v>7440.7504591176039</v>
      </c>
      <c r="J14" s="8">
        <f t="shared" si="2"/>
        <v>7763.3479808546317</v>
      </c>
      <c r="K14" s="8">
        <f t="shared" si="2"/>
        <v>7950.9501737523397</v>
      </c>
      <c r="L14" s="8">
        <f t="shared" si="2"/>
        <v>7970.4163186474452</v>
      </c>
      <c r="M14" s="8">
        <f t="shared" si="2"/>
        <v>7885.5365207034747</v>
      </c>
      <c r="N14" s="8">
        <f t="shared" si="2"/>
        <v>8501.836854846204</v>
      </c>
      <c r="O14" s="8">
        <f t="shared" si="2"/>
        <v>8314.4454455443574</v>
      </c>
      <c r="P14" s="8">
        <f t="shared" si="2"/>
        <v>8926.393966069767</v>
      </c>
      <c r="Q14" s="8">
        <f t="shared" si="2"/>
        <v>9187.7710229976656</v>
      </c>
      <c r="S14" s="8">
        <f t="shared" ref="S14" si="3">S13*$B$8</f>
        <v>9842.049944402268</v>
      </c>
    </row>
    <row r="15" spans="1:28" ht="14.25" x14ac:dyDescent="0.25">
      <c r="A15" t="s">
        <v>26</v>
      </c>
      <c r="C15" s="8">
        <f>C14/C5*1000</f>
        <v>331.47866023619792</v>
      </c>
      <c r="D15" s="8">
        <f t="shared" ref="D15:Q15" si="4">D14/D5*1000</f>
        <v>344.52765152169678</v>
      </c>
      <c r="E15" s="8">
        <f t="shared" si="4"/>
        <v>343.76571560116065</v>
      </c>
      <c r="F15" s="8">
        <f t="shared" si="4"/>
        <v>332.40925670849634</v>
      </c>
      <c r="G15" s="8">
        <f t="shared" si="4"/>
        <v>327.06776400343364</v>
      </c>
      <c r="H15" s="8">
        <f t="shared" si="4"/>
        <v>323.24747554094182</v>
      </c>
      <c r="I15" s="8">
        <f t="shared" si="4"/>
        <v>308.33542429627067</v>
      </c>
      <c r="J15" s="8">
        <f t="shared" si="4"/>
        <v>291.54829430879641</v>
      </c>
      <c r="K15" s="8">
        <f t="shared" si="4"/>
        <v>283.50687016410552</v>
      </c>
      <c r="L15" s="8">
        <f t="shared" si="4"/>
        <v>281.68992113968704</v>
      </c>
      <c r="M15" s="8">
        <f t="shared" si="4"/>
        <v>270.02487829002069</v>
      </c>
      <c r="N15" s="8">
        <f t="shared" si="4"/>
        <v>276.04262654132287</v>
      </c>
      <c r="O15" s="8">
        <f t="shared" si="4"/>
        <v>260.89445685601549</v>
      </c>
      <c r="P15" s="8">
        <f t="shared" si="4"/>
        <v>258.08523335558931</v>
      </c>
      <c r="Q15" s="8">
        <f t="shared" si="4"/>
        <v>262.76299899896088</v>
      </c>
      <c r="R15" s="8"/>
      <c r="S15" s="8">
        <f t="shared" ref="S15" si="5">S14/S5*1000</f>
        <v>270.49745621553575</v>
      </c>
    </row>
    <row r="19" spans="1:19" ht="14.25" x14ac:dyDescent="0.25">
      <c r="A19" t="s">
        <v>27</v>
      </c>
      <c r="B19" s="9" t="s">
        <v>28</v>
      </c>
      <c r="C19" s="9">
        <f>C15*C6</f>
        <v>5848609.481207476</v>
      </c>
      <c r="D19" s="9">
        <f t="shared" ref="D19:S19" si="6">D15*D6</f>
        <v>6534311.4387605013</v>
      </c>
      <c r="E19" s="9">
        <f t="shared" si="6"/>
        <v>6843344.100472305</v>
      </c>
      <c r="F19" s="9">
        <f t="shared" si="6"/>
        <v>6913780.1302800151</v>
      </c>
      <c r="G19" s="9">
        <f t="shared" si="6"/>
        <v>6985186.2358213319</v>
      </c>
      <c r="H19" s="9">
        <f t="shared" si="6"/>
        <v>6942709.2796683488</v>
      </c>
      <c r="I19" s="9">
        <f t="shared" si="6"/>
        <v>6064649.460483348</v>
      </c>
      <c r="J19" s="9">
        <f t="shared" si="6"/>
        <v>6254294.0095123006</v>
      </c>
      <c r="K19" s="9">
        <f t="shared" si="6"/>
        <v>6427951.267230764</v>
      </c>
      <c r="L19" s="9">
        <f t="shared" si="6"/>
        <v>6560276.5734221712</v>
      </c>
      <c r="M19" s="9">
        <f t="shared" si="6"/>
        <v>6488427.8004309069</v>
      </c>
      <c r="N19" s="9">
        <f t="shared" si="6"/>
        <v>7063378.7279393701</v>
      </c>
      <c r="O19" s="9">
        <f t="shared" si="6"/>
        <v>6933791.979862324</v>
      </c>
      <c r="P19" s="9">
        <f t="shared" si="6"/>
        <v>7485246.0230121566</v>
      </c>
      <c r="Q19" s="9">
        <f t="shared" si="6"/>
        <v>7659015.8948217118</v>
      </c>
      <c r="S19" s="9">
        <f t="shared" si="6"/>
        <v>8168211.685340533</v>
      </c>
    </row>
    <row r="20" spans="1:19" ht="14.25" x14ac:dyDescent="0.25">
      <c r="B20" s="9"/>
    </row>
    <row r="21" spans="1:19" x14ac:dyDescent="0.25">
      <c r="A21" t="s">
        <v>29</v>
      </c>
      <c r="C21" s="10">
        <f>1.005^10</f>
        <v>1.0511401320407892</v>
      </c>
      <c r="D21" s="10">
        <f>(1-C21)+1</f>
        <v>0.94885986795921085</v>
      </c>
    </row>
    <row r="22" spans="1:19" ht="14.25" x14ac:dyDescent="0.25">
      <c r="B22" s="9"/>
    </row>
    <row r="23" spans="1:19" ht="14.25" x14ac:dyDescent="0.25">
      <c r="B23" s="9"/>
    </row>
    <row r="24" spans="1:19" x14ac:dyDescent="0.25">
      <c r="A24" t="s">
        <v>58</v>
      </c>
      <c r="B24" s="9"/>
    </row>
    <row r="25" spans="1:19" ht="14.25" x14ac:dyDescent="0.25">
      <c r="A25" t="s">
        <v>30</v>
      </c>
      <c r="B25" s="9">
        <f>S15*40000*D21</f>
        <v>10266567.223519027</v>
      </c>
    </row>
    <row r="26" spans="1:19" ht="14.25" x14ac:dyDescent="0.25">
      <c r="A26" t="s">
        <v>31</v>
      </c>
      <c r="B26" s="9">
        <f>S15*60000*D21</f>
        <v>15399850.835278541</v>
      </c>
    </row>
    <row r="28" spans="1:19" ht="14.25" x14ac:dyDescent="0.25">
      <c r="A28" t="s">
        <v>32</v>
      </c>
    </row>
    <row r="29" spans="1:19" ht="14.25" x14ac:dyDescent="0.25">
      <c r="A29" t="s">
        <v>30</v>
      </c>
      <c r="B29" s="11">
        <f>B25-S19</f>
        <v>2098355.5381784942</v>
      </c>
    </row>
    <row r="30" spans="1:19" ht="14.25" x14ac:dyDescent="0.25">
      <c r="A30" t="s">
        <v>31</v>
      </c>
      <c r="B30" s="11">
        <f>B26-S19</f>
        <v>7231639.1499380078</v>
      </c>
    </row>
    <row r="33" spans="1:11" x14ac:dyDescent="0.25">
      <c r="A33" s="5" t="s">
        <v>33</v>
      </c>
    </row>
    <row r="34" spans="1:11" ht="14.25" x14ac:dyDescent="0.25">
      <c r="A34" t="s">
        <v>34</v>
      </c>
      <c r="B34" s="8">
        <v>74099.44</v>
      </c>
    </row>
    <row r="35" spans="1:11" x14ac:dyDescent="0.25">
      <c r="A35" t="s">
        <v>35</v>
      </c>
      <c r="B35" s="8">
        <f>B34*0.3</f>
        <v>22229.831999999999</v>
      </c>
      <c r="J35" s="12" t="s">
        <v>36</v>
      </c>
      <c r="K35" s="13"/>
    </row>
    <row r="36" spans="1:11" x14ac:dyDescent="0.25">
      <c r="A36" t="s">
        <v>37</v>
      </c>
      <c r="J36" s="13">
        <f>Q19/B35*0.1</f>
        <v>34.453773176611108</v>
      </c>
      <c r="K36" s="13"/>
    </row>
    <row r="37" spans="1:11" x14ac:dyDescent="0.25">
      <c r="A37" t="s">
        <v>38</v>
      </c>
      <c r="J37" s="14">
        <f>B29/B35*0.1</f>
        <v>9.439367504794884</v>
      </c>
      <c r="K37" s="13"/>
    </row>
    <row r="41" spans="1:11" x14ac:dyDescent="0.25">
      <c r="A41" s="5" t="s">
        <v>44</v>
      </c>
    </row>
    <row r="42" spans="1:11" ht="14.25" x14ac:dyDescent="0.25">
      <c r="A42" t="s">
        <v>46</v>
      </c>
      <c r="B42" t="s">
        <v>55</v>
      </c>
      <c r="C42" t="s">
        <v>56</v>
      </c>
    </row>
    <row r="43" spans="1:11" ht="14.25" x14ac:dyDescent="0.25">
      <c r="A43" t="s">
        <v>45</v>
      </c>
      <c r="B43">
        <v>12.4</v>
      </c>
      <c r="C43" s="15">
        <f>12+(3*S11/1000)</f>
        <v>21.387224085697735</v>
      </c>
      <c r="D43" t="s">
        <v>50</v>
      </c>
    </row>
    <row r="44" spans="1:11" x14ac:dyDescent="0.25">
      <c r="A44" t="s">
        <v>47</v>
      </c>
      <c r="B44">
        <f>-12.4+9.6</f>
        <v>-2.8000000000000007</v>
      </c>
      <c r="C44" s="15">
        <f>(Y12-S11)/1000</f>
        <v>1.0140700290002882</v>
      </c>
      <c r="D44" t="s">
        <v>51</v>
      </c>
    </row>
    <row r="45" spans="1:11" ht="14.25" x14ac:dyDescent="0.25">
      <c r="A45" t="s">
        <v>53</v>
      </c>
      <c r="B45">
        <f>B43+B44</f>
        <v>9.6</v>
      </c>
      <c r="C45" s="15">
        <f>C43+C44</f>
        <v>22.401294114698022</v>
      </c>
    </row>
    <row r="49" spans="1:3" ht="14.25" x14ac:dyDescent="0.25">
      <c r="A49" s="20" t="s">
        <v>54</v>
      </c>
      <c r="B49" s="21"/>
      <c r="C49" s="21"/>
    </row>
    <row r="50" spans="1:3" ht="14.25" x14ac:dyDescent="0.25">
      <c r="A50" s="21" t="s">
        <v>46</v>
      </c>
      <c r="B50" s="21" t="s">
        <v>59</v>
      </c>
      <c r="C50" s="21" t="s">
        <v>63</v>
      </c>
    </row>
    <row r="51" spans="1:3" ht="14.25" x14ac:dyDescent="0.25">
      <c r="A51" s="21" t="s">
        <v>60</v>
      </c>
      <c r="B51" s="21">
        <v>12.4</v>
      </c>
      <c r="C51" s="22">
        <f>C43-B43</f>
        <v>8.9872240856977346</v>
      </c>
    </row>
    <row r="52" spans="1:3" ht="14.25" x14ac:dyDescent="0.25">
      <c r="A52" s="21" t="s">
        <v>61</v>
      </c>
      <c r="B52" s="21">
        <f>-12.4+9.6</f>
        <v>-2.8000000000000007</v>
      </c>
      <c r="C52" s="22">
        <f>C44-B44</f>
        <v>3.8140700290002889</v>
      </c>
    </row>
    <row r="53" spans="1:3" ht="14.25" x14ac:dyDescent="0.25">
      <c r="A53" s="21" t="s">
        <v>62</v>
      </c>
      <c r="B53" s="21">
        <f>B51+B52</f>
        <v>9.6</v>
      </c>
      <c r="C53" s="22">
        <f t="shared" ref="C52:C53" si="7">C45-B45</f>
        <v>12.801294114698022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Poul Kattler</cp:lastModifiedBy>
  <dcterms:created xsi:type="dcterms:W3CDTF">2019-08-30T13:01:31Z</dcterms:created>
  <dcterms:modified xsi:type="dcterms:W3CDTF">2023-03-04T13:35:35Z</dcterms:modified>
</cp:coreProperties>
</file>